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scotrural-my.sharepoint.com/personal/loshaw_sruc_ac_uk/Documents/Documents/QMS/Islay 2024/Determining the Profitable Suckler on a Island Farm Project/"/>
    </mc:Choice>
  </mc:AlternateContent>
  <xr:revisionPtr revIDLastSave="0" documentId="8_{843BB22A-C2B8-468B-BD22-7DD271EE137E}" xr6:coauthVersionLast="47" xr6:coauthVersionMax="47" xr10:uidLastSave="{00000000-0000-0000-0000-000000000000}"/>
  <bookViews>
    <workbookView xWindow="15890" yWindow="-1880" windowWidth="19420" windowHeight="10300" activeTab="1" xr2:uid="{FBFABBA7-E1CC-4AF4-8539-EEC4778692FB}"/>
  </bookViews>
  <sheets>
    <sheet name="Intro &amp; Information" sheetId="4" r:id="rId1"/>
    <sheet name="Data Input" sheetId="1" r:id="rId2"/>
    <sheet name="Output - Profitability" sheetId="2" r:id="rId3"/>
    <sheet name="Ration &amp; Cost Calculator" sheetId="5" r:id="rId4"/>
    <sheet name="Background Data"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 l="1"/>
  <c r="F14" i="2"/>
  <c r="E14" i="2"/>
  <c r="D14" i="2"/>
  <c r="C14" i="2"/>
  <c r="F11" i="1"/>
  <c r="C11" i="1"/>
  <c r="D11" i="1"/>
  <c r="E11" i="1"/>
  <c r="I12" i="5"/>
  <c r="I13" i="5"/>
  <c r="I14" i="5"/>
  <c r="I15" i="5"/>
  <c r="I16" i="5"/>
  <c r="I17" i="5"/>
  <c r="I18" i="5"/>
  <c r="I19" i="5"/>
  <c r="I20" i="5"/>
  <c r="I11" i="5"/>
  <c r="D20" i="5"/>
  <c r="D12" i="5"/>
  <c r="D13" i="5"/>
  <c r="D14" i="5"/>
  <c r="D15" i="5"/>
  <c r="D16" i="5"/>
  <c r="D17" i="5"/>
  <c r="D18" i="5"/>
  <c r="D19" i="5"/>
  <c r="D11" i="5"/>
  <c r="M15" i="5"/>
  <c r="M16" i="5"/>
  <c r="C6" i="5"/>
  <c r="M14" i="5" s="1"/>
  <c r="C12" i="1"/>
  <c r="L15" i="5" l="1"/>
  <c r="L14" i="5"/>
  <c r="L16" i="5" s="1"/>
  <c r="I23" i="5"/>
  <c r="D4" i="2"/>
  <c r="E4" i="2"/>
  <c r="F4" i="2"/>
  <c r="C4" i="2"/>
  <c r="E17" i="2"/>
  <c r="F17" i="2"/>
  <c r="E18" i="2"/>
  <c r="F18" i="2"/>
  <c r="E12" i="1"/>
  <c r="F12" i="1"/>
  <c r="D18" i="2"/>
  <c r="D17" i="2"/>
  <c r="D12" i="1"/>
  <c r="C18" i="2"/>
  <c r="C17" i="2"/>
  <c r="F7" i="2" l="1"/>
  <c r="E7" i="2"/>
  <c r="D7" i="2"/>
  <c r="D8" i="2" s="1"/>
  <c r="C7" i="2"/>
  <c r="C8" i="2" s="1"/>
  <c r="E8" i="2" l="1"/>
  <c r="E10" i="2" s="1"/>
  <c r="F8" i="2"/>
  <c r="F10" i="2" s="1"/>
  <c r="F9" i="2"/>
  <c r="E9" i="2"/>
  <c r="D10" i="2"/>
  <c r="D9" i="2"/>
  <c r="C9" i="2"/>
  <c r="C10" i="2"/>
  <c r="C21" i="2" s="1"/>
  <c r="F25" i="1" l="1"/>
  <c r="F21" i="2"/>
  <c r="F11" i="2"/>
  <c r="F22" i="2" s="1"/>
  <c r="E21" i="2"/>
  <c r="E11" i="2"/>
  <c r="E22" i="2" s="1"/>
  <c r="E25" i="1"/>
  <c r="D11" i="2"/>
  <c r="D22" i="2" s="1"/>
  <c r="C11" i="2"/>
  <c r="C22" i="2" s="1"/>
  <c r="D25" i="1"/>
  <c r="C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tc={3B272D69-9581-414F-9AEB-E828F47A6D97}</author>
  </authors>
  <commentList>
    <comment ref="B20" authorId="0" shapeId="0" xr:uid="{3B272D69-9581-414F-9AEB-E828F47A6D97}">
      <text>
        <t>[Threaded comment]
Your version of Excel allows you to read this threaded comment; however, any edits to it will get removed if the file is opened in a newer version of Excel. Learn more: https://go.microsoft.com/fwlink/?linkid=870924
Comment:
    This will be for powdered mineral/bucket but wouldn’t take into account a bolus or drench as these would be a one off?</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<sst xmlns="http://schemas.openxmlformats.org/spreadsheetml/2006/main" count="124" uniqueCount="100">
  <si>
    <t>Stage of Production</t>
  </si>
  <si>
    <t>Suckler Details</t>
  </si>
  <si>
    <t>Percentage DMI of BW</t>
  </si>
  <si>
    <t xml:space="preserve">Dry </t>
  </si>
  <si>
    <t>Lactation</t>
  </si>
  <si>
    <t>Ration cost / kg DM</t>
  </si>
  <si>
    <t>Calf Details</t>
  </si>
  <si>
    <t>Calf Weight at Weaning (200days) (kg)</t>
  </si>
  <si>
    <t>Predicted Daily Dry Matter Intake (kg)</t>
  </si>
  <si>
    <t>Suckler Costs</t>
  </si>
  <si>
    <t>Total Daily Costs (£/day)</t>
  </si>
  <si>
    <t>Daily Ration Cost (£/day)</t>
  </si>
  <si>
    <t>Ration Dry Matter as rationed (kg)</t>
  </si>
  <si>
    <t>Length of feeding time (Days)</t>
  </si>
  <si>
    <t xml:space="preserve">Suckler Performance </t>
  </si>
  <si>
    <t xml:space="preserve">Cow Efficiency </t>
  </si>
  <si>
    <t>Calf</t>
  </si>
  <si>
    <t>Calf Costs to weaning</t>
  </si>
  <si>
    <t>Calf Value at Weaning</t>
  </si>
  <si>
    <t>Average Suckler Weight (kg)</t>
  </si>
  <si>
    <t>Total number of sucklers in system</t>
  </si>
  <si>
    <t>Bedding Costs (£/day)</t>
  </si>
  <si>
    <t>ID</t>
  </si>
  <si>
    <t>Ration Cost (whole winter)  (£)</t>
  </si>
  <si>
    <t>Total Costs (whole winter/cow) (£)</t>
  </si>
  <si>
    <t>Calf margin over feed costs*</t>
  </si>
  <si>
    <t>Coloured boxes = Data input</t>
  </si>
  <si>
    <t>Ration Cost (£/cow/day)</t>
  </si>
  <si>
    <t>Feed costs to weaning (£/calf/day)</t>
  </si>
  <si>
    <t>Length of time housed/wintered</t>
  </si>
  <si>
    <t>*please note that the calf margin over feed cost value does not include any other costs other than bedding. Fuel, machinery, electricity, labour, vet/med, rent &amp; sundries should also be considered for a full enterprise costing</t>
  </si>
  <si>
    <t>Scenario ID 1</t>
  </si>
  <si>
    <t>Cow Weight</t>
  </si>
  <si>
    <t>Cow DMI (Dry)</t>
  </si>
  <si>
    <t>kg</t>
  </si>
  <si>
    <t>kg/day</t>
  </si>
  <si>
    <t>Feed</t>
  </si>
  <si>
    <t>kg/cow/day</t>
  </si>
  <si>
    <t>Straw</t>
  </si>
  <si>
    <t>Concentrate</t>
  </si>
  <si>
    <t>Liquid feed (e.g. molasses. pot ale)</t>
  </si>
  <si>
    <t>Other? E.g. draff?</t>
  </si>
  <si>
    <t>Minerals</t>
  </si>
  <si>
    <t>Forage 1</t>
  </si>
  <si>
    <t>Forage 2</t>
  </si>
  <si>
    <t>Forage 3</t>
  </si>
  <si>
    <t>ME (MJ/kg DM)</t>
  </si>
  <si>
    <t>Total ration cost £/cow/day</t>
  </si>
  <si>
    <t>Ration output</t>
  </si>
  <si>
    <t>Total DMI (kg/cow)</t>
  </si>
  <si>
    <t>Actual</t>
  </si>
  <si>
    <t>Target</t>
  </si>
  <si>
    <t>Cost of feed £/T</t>
  </si>
  <si>
    <t>£/cow/day</t>
  </si>
  <si>
    <t>Wholecrop</t>
  </si>
  <si>
    <t>Total MJ intake*</t>
  </si>
  <si>
    <t xml:space="preserve">*please note this is a rough guide and may differ depending on cow condition and proximity to calving or stage or lactation for a more accurate prediction please contact your nutritionist. </t>
  </si>
  <si>
    <t>Crude Protein (% DM)</t>
  </si>
  <si>
    <t>Dry Matter (%)</t>
  </si>
  <si>
    <t>Crude protein % DM</t>
  </si>
  <si>
    <t>kg DM/day</t>
  </si>
  <si>
    <t>Data Input Tab</t>
  </si>
  <si>
    <t xml:space="preserve">Based on predicted intake as a % of liveweight for stage of production. </t>
  </si>
  <si>
    <t>Additional feed for calves pre weaning i.e. Calf Creep Costs (£/calf/day)</t>
  </si>
  <si>
    <t xml:space="preserve">Description </t>
  </si>
  <si>
    <t>Time calves fed creep in days</t>
  </si>
  <si>
    <t xml:space="preserve">Calf Value at weaning (ppkg) </t>
  </si>
  <si>
    <t xml:space="preserve">Value of calf at weaning (i.e. store value at point of weaning) </t>
  </si>
  <si>
    <t>Total cows on farm</t>
  </si>
  <si>
    <t>Total bedding costs in £/day if applicable</t>
  </si>
  <si>
    <t xml:space="preserve">Number of days on wintering system (either housed or outwinted) </t>
  </si>
  <si>
    <t>Dry or Lactation - Please use drop down menu</t>
  </si>
  <si>
    <t>Ration cost £/kg DM consumed - Self Calculating</t>
  </si>
  <si>
    <t>Total Ration cost (Forage + Any other feeds &amp; Minerals (£/cow/day) - Can be calculated using the ration tab</t>
  </si>
  <si>
    <t>Suggested Scenarios</t>
  </si>
  <si>
    <t xml:space="preserve">Dry Matter (in Kg) of the suckler ration (as an average) </t>
  </si>
  <si>
    <t xml:space="preserve">Weight of the suckler cow at weaning (kg) </t>
  </si>
  <si>
    <t>Filled Cells</t>
  </si>
  <si>
    <t>Data Input (all other cells are locked)</t>
  </si>
  <si>
    <t xml:space="preserve">Output - Profitability </t>
  </si>
  <si>
    <t>Description</t>
  </si>
  <si>
    <t>Total daily feed costs  (£/Cow/Day)</t>
  </si>
  <si>
    <t>Total daily costs to keep the suckler including bedding if applicable (£/Cow/Day)</t>
  </si>
  <si>
    <t>Total costs including bedding over whole winter (£/cow)</t>
  </si>
  <si>
    <t>Ration cost of total wintering period (£/cow)</t>
  </si>
  <si>
    <t>Daily Ration Cost (£/cow/day)</t>
  </si>
  <si>
    <t>Total Daily Costs (£/cow/day)</t>
  </si>
  <si>
    <t>Calf Value at Weaning (£/calf)</t>
  </si>
  <si>
    <t>Calf Costs to weaning (£/calf)</t>
  </si>
  <si>
    <t>Calf weight as a % of cow weight at weaning</t>
  </si>
  <si>
    <t>Additional cost to keep calf till weaning above costs of keeping the dam (£)</t>
  </si>
  <si>
    <t>Ration Cost (whole winter/cow)  (£)</t>
  </si>
  <si>
    <t>Total Herd Costs (whole winter/herd) (£)</t>
  </si>
  <si>
    <t>Margin over feed cost (whole herd)</t>
  </si>
  <si>
    <t xml:space="preserve">Calf weight at 200 days corrected for birthweight of calf. Weaning weight can also be used if calf age is consistent. </t>
  </si>
  <si>
    <t xml:space="preserve">Housed Vs Outwintered, Autumn Vs Spring Calving Cows, Comparing cows of different body weight, comparing performance on farm by breed, comparing cows summered on different systems or performance of calves feeding creep or not. </t>
  </si>
  <si>
    <t>Welcome to the profitable cow calculator. The aim of the following calculator is to be used as a tool to determine the potential profitability of your herd based on a calf margin over feed costs. Some useful production benchmarks can also be calculated such as cow efficiency and value of calf at weaning. The calculator also includes a handy suckler ration and cost calculator tool allowing rations to be checked.</t>
  </si>
  <si>
    <t>Length of time housed/wintered (Days)</t>
  </si>
  <si>
    <t>Market value of suckled calf at point of weaning(£)</t>
  </si>
  <si>
    <t xml:space="preserve">*please note that the calf margin over feed cost value does not include any other costs other than bedding such as Fuel, machinery, electricity, labour, vet/med, rent etc that all should also be considered in full enterprise costings.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</si>
</sst>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0" x14ac:knownFonts="1">
    <font>
      <sz val="12"/>
      <color theme="1"/>
      <name val="DM Sans"/>
      <family val="2"/>
    </font>
    <font>
      <b/>
      <sz val="12"/>
      <color theme="1"/>
      <name val="DM Sans"/>
    </font>
    <font>
      <sz val="16"/>
      <color theme="1"/>
      <name val="DM Sans"/>
    </font>
    <font>
      <b/>
      <sz val="16"/>
      <color theme="1"/>
      <name val="DM Sans"/>
    </font>
    <font>
      <sz val="16"/>
      <name val="DM Sans"/>
    </font>
    <font>
      <b/>
      <sz val="16"/>
      <color theme="0"/>
      <name val="DM Sans"/>
    </font>
    <font>
      <b/>
      <sz val="12"/>
      <color theme="0"/>
      <name val="DM Sans"/>
    </font>
    <font>
      <sz val="12"/>
      <name val="DM Sans"/>
    </font>
    <font>
      <b/>
      <sz val="12"/>
      <name val="DM Sans"/>
    </font>
    <font>
      <sz val="12"/>
      <color theme="0"/>
      <name val="DM Sans"/>
    </font>
  </fonts>
  <fills count="14">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6">
    <xf numFmtId="0" fontId="0" fillId="0" borderId="0" xfId="0"/>
    <xf numFmtId="0" fontId="0" fillId="0" borderId="0" xfId="0" applyAlignment="1">
      <alignment horizontal="center"/>
    </xf>
    <xf numFmtId="0" fontId="0" fillId="0" borderId="0" xfId="0" applyAlignment="1">
      <alignment horizontal="center" vertical="center"/>
    </xf>
    <xf numFmtId="0" fontId="1" fillId="0" borderId="10"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9" borderId="5" xfId="0" applyFill="1" applyBorder="1" applyAlignment="1" applyProtection="1">
      <alignment horizontal="center" vertical="center"/>
      <protection locked="0"/>
    </xf>
    <xf numFmtId="164" fontId="0" fillId="2" borderId="1" xfId="0" applyNumberFormat="1" applyFill="1" applyBorder="1" applyAlignment="1" applyProtection="1">
      <alignment horizontal="center" vertical="center"/>
      <protection locked="0"/>
    </xf>
    <xf numFmtId="164" fontId="0" fillId="7" borderId="1" xfId="0" applyNumberFormat="1" applyFill="1" applyBorder="1" applyAlignment="1" applyProtection="1">
      <alignment horizontal="center" vertical="center"/>
      <protection locked="0"/>
    </xf>
    <xf numFmtId="164" fontId="0" fillId="8" borderId="1" xfId="0" applyNumberFormat="1" applyFill="1" applyBorder="1" applyAlignment="1" applyProtection="1">
      <alignment horizontal="center" vertical="center"/>
      <protection locked="0"/>
    </xf>
    <xf numFmtId="164" fontId="0" fillId="9" borderId="5" xfId="0" applyNumberFormat="1" applyFill="1" applyBorder="1" applyAlignment="1" applyProtection="1">
      <alignment horizontal="center" vertical="center"/>
      <protection locked="0"/>
    </xf>
    <xf numFmtId="164" fontId="0" fillId="0" borderId="1" xfId="0" applyNumberFormat="1" applyBorder="1" applyAlignment="1">
      <alignment horizontal="center" vertical="center"/>
    </xf>
    <xf numFmtId="164" fontId="0" fillId="0" borderId="5" xfId="0" applyNumberFormat="1" applyBorder="1" applyAlignment="1">
      <alignment horizontal="center" vertical="center"/>
    </xf>
    <xf numFmtId="0" fontId="0" fillId="0" borderId="0" xfId="0" applyAlignment="1">
      <alignment horizontal="center" wrapText="1"/>
    </xf>
    <xf numFmtId="0" fontId="0" fillId="0" borderId="1" xfId="0" applyBorder="1"/>
    <xf numFmtId="0" fontId="1" fillId="0" borderId="0" xfId="0" applyFont="1" applyAlignment="1">
      <alignment horizontal="center"/>
    </xf>
    <xf numFmtId="0" fontId="1" fillId="0" borderId="0" xfId="0" applyFont="1"/>
    <xf numFmtId="0" fontId="1" fillId="0" borderId="0" xfId="0" applyFont="1" applyAlignment="1">
      <alignment wrapText="1"/>
    </xf>
    <xf numFmtId="0" fontId="1" fillId="0" borderId="0" xfId="0" applyFont="1" applyAlignment="1">
      <alignment wrapText="1" shrinkToFit="1"/>
    </xf>
    <xf numFmtId="0" fontId="2" fillId="0" borderId="19" xfId="0" applyFont="1" applyBorder="1"/>
    <xf numFmtId="0" fontId="2" fillId="0" borderId="0" xfId="0"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0" fontId="2" fillId="3"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lignment horizontal="center" vertical="center"/>
    </xf>
    <xf numFmtId="0" fontId="2" fillId="0" borderId="0" xfId="0" applyFont="1" applyAlignment="1">
      <alignment horizontal="center" vertical="center"/>
    </xf>
    <xf numFmtId="0" fontId="4" fillId="10" borderId="0" xfId="0" applyFont="1" applyFill="1"/>
    <xf numFmtId="0" fontId="3" fillId="0" borderId="1" xfId="0" applyFont="1" applyBorder="1"/>
    <xf numFmtId="0" fontId="3" fillId="0" borderId="1" xfId="0" applyFont="1"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165" fontId="2" fillId="0" borderId="1" xfId="0" applyNumberFormat="1" applyFont="1" applyBorder="1" applyAlignment="1">
      <alignment horizontal="center"/>
    </xf>
    <xf numFmtId="0" fontId="3" fillId="0" borderId="1" xfId="0" applyFont="1" applyBorder="1" applyAlignment="1">
      <alignment wrapText="1"/>
    </xf>
    <xf numFmtId="9" fontId="2" fillId="0" borderId="1" xfId="0" applyNumberFormat="1" applyFont="1" applyBorder="1" applyAlignment="1">
      <alignment horizontal="center"/>
    </xf>
    <xf numFmtId="0" fontId="3" fillId="0" borderId="1" xfId="0" applyFont="1" applyBorder="1" applyAlignment="1">
      <alignment wrapText="1" shrinkToFit="1"/>
    </xf>
    <xf numFmtId="164" fontId="3" fillId="0" borderId="11" xfId="0" applyNumberFormat="1" applyFont="1" applyBorder="1"/>
    <xf numFmtId="0" fontId="5" fillId="12" borderId="1" xfId="0" applyFont="1" applyFill="1" applyBorder="1" applyAlignment="1">
      <alignment horizontal="center"/>
    </xf>
    <xf numFmtId="0" fontId="5" fillId="12" borderId="1" xfId="0" applyFont="1" applyFill="1" applyBorder="1"/>
    <xf numFmtId="0" fontId="5" fillId="12" borderId="20" xfId="0" applyFont="1" applyFill="1" applyBorder="1"/>
    <xf numFmtId="165" fontId="2" fillId="0" borderId="20" xfId="0" applyNumberFormat="1" applyFont="1" applyBorder="1" applyAlignment="1">
      <alignment horizontal="center"/>
    </xf>
    <xf numFmtId="0" fontId="2" fillId="0" borderId="20" xfId="0" applyFont="1" applyBorder="1" applyAlignment="1">
      <alignment horizontal="center" vertical="center"/>
    </xf>
    <xf numFmtId="0" fontId="6" fillId="1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13" borderId="1" xfId="0" applyFont="1" applyFill="1" applyBorder="1" applyAlignment="1">
      <alignment horizontal="center" vertical="center"/>
    </xf>
    <xf numFmtId="0" fontId="1" fillId="11" borderId="1" xfId="0" applyFont="1" applyFill="1" applyBorder="1" applyAlignment="1">
      <alignment horizontal="center" vertical="center"/>
    </xf>
    <xf numFmtId="0" fontId="1" fillId="6" borderId="10"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1" xfId="0" applyFont="1" applyFill="1" applyBorder="1" applyAlignment="1">
      <alignment horizontal="center" vertical="center"/>
    </xf>
    <xf numFmtId="164" fontId="0" fillId="0" borderId="7" xfId="0" applyNumberFormat="1" applyBorder="1" applyAlignment="1">
      <alignment horizontal="center" vertical="center"/>
    </xf>
    <xf numFmtId="10" fontId="0" fillId="0" borderId="7" xfId="0" applyNumberFormat="1" applyBorder="1" applyAlignment="1">
      <alignment horizontal="center" vertical="center"/>
    </xf>
    <xf numFmtId="0" fontId="1" fillId="5" borderId="2" xfId="0" applyFont="1" applyFill="1" applyBorder="1" applyAlignment="1">
      <alignment horizontal="center" vertical="center"/>
    </xf>
    <xf numFmtId="164" fontId="1" fillId="5" borderId="15" xfId="0" applyNumberFormat="1" applyFont="1" applyFill="1" applyBorder="1" applyAlignment="1">
      <alignment horizontal="center" vertical="center"/>
    </xf>
    <xf numFmtId="164" fontId="1" fillId="5" borderId="3" xfId="0" applyNumberFormat="1" applyFont="1" applyFill="1" applyBorder="1" applyAlignment="1">
      <alignment horizontal="center" vertical="center"/>
    </xf>
    <xf numFmtId="0" fontId="1" fillId="5" borderId="6" xfId="0" applyFont="1" applyFill="1" applyBorder="1" applyAlignment="1">
      <alignment horizontal="center" vertical="center"/>
    </xf>
    <xf numFmtId="164" fontId="1" fillId="5" borderId="16" xfId="0" applyNumberFormat="1" applyFont="1" applyFill="1" applyBorder="1" applyAlignment="1">
      <alignment horizontal="center" vertical="center"/>
    </xf>
    <xf numFmtId="164" fontId="1" fillId="5" borderId="7" xfId="0" applyNumberFormat="1" applyFont="1" applyFill="1" applyBorder="1" applyAlignment="1">
      <alignment horizontal="center" vertical="center"/>
    </xf>
    <xf numFmtId="0" fontId="1" fillId="5" borderId="10" xfId="0" applyFont="1" applyFill="1" applyBorder="1" applyAlignment="1">
      <alignment horizontal="center" vertical="center"/>
    </xf>
    <xf numFmtId="164" fontId="1" fillId="5" borderId="11" xfId="0" applyNumberFormat="1" applyFont="1" applyFill="1" applyBorder="1" applyAlignment="1">
      <alignment horizontal="center" vertical="center"/>
    </xf>
    <xf numFmtId="0" fontId="8" fillId="0" borderId="18" xfId="0" applyFont="1" applyBorder="1" applyAlignment="1">
      <alignment horizontal="center" vertical="center" wrapText="1"/>
    </xf>
    <xf numFmtId="164" fontId="0" fillId="0" borderId="16" xfId="0" applyNumberFormat="1" applyBorder="1" applyAlignment="1">
      <alignment horizontal="center" vertical="center"/>
    </xf>
    <xf numFmtId="0" fontId="1" fillId="2" borderId="11" xfId="0" applyFont="1" applyFill="1" applyBorder="1" applyAlignment="1" applyProtection="1">
      <alignment horizontal="center" vertical="center"/>
      <protection locked="0"/>
    </xf>
    <xf numFmtId="0" fontId="1" fillId="7" borderId="11" xfId="0" applyFont="1" applyFill="1" applyBorder="1" applyAlignment="1" applyProtection="1">
      <alignment horizontal="center" vertical="center"/>
      <protection locked="0"/>
    </xf>
    <xf numFmtId="0" fontId="1" fillId="8" borderId="11" xfId="0" applyFont="1" applyFill="1" applyBorder="1" applyAlignment="1" applyProtection="1">
      <alignment horizontal="center" vertical="center"/>
      <protection locked="0"/>
    </xf>
    <xf numFmtId="0" fontId="1" fillId="9" borderId="11" xfId="0" applyFont="1" applyFill="1" applyBorder="1" applyAlignment="1" applyProtection="1">
      <alignment horizontal="center" vertical="center"/>
      <protection locked="0"/>
    </xf>
    <xf numFmtId="164" fontId="0" fillId="2" borderId="16" xfId="0" applyNumberFormat="1" applyFill="1" applyBorder="1" applyAlignment="1" applyProtection="1">
      <alignment horizontal="center" vertical="center"/>
      <protection locked="0"/>
    </xf>
    <xf numFmtId="164" fontId="0" fillId="7" borderId="16" xfId="0" applyNumberFormat="1" applyFill="1" applyBorder="1" applyAlignment="1" applyProtection="1">
      <alignment horizontal="center" vertical="center"/>
      <protection locked="0"/>
    </xf>
    <xf numFmtId="164" fontId="0" fillId="8" borderId="16" xfId="0" applyNumberFormat="1" applyFill="1" applyBorder="1" applyAlignment="1" applyProtection="1">
      <alignment horizontal="center" vertical="center"/>
      <protection locked="0"/>
    </xf>
    <xf numFmtId="164" fontId="0" fillId="9" borderId="7" xfId="0" applyNumberFormat="1"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7" borderId="5" xfId="0" applyFill="1" applyBorder="1" applyAlignment="1" applyProtection="1">
      <alignment horizontal="center" vertical="center"/>
      <protection locked="0"/>
    </xf>
    <xf numFmtId="0" fontId="0" fillId="8" borderId="5" xfId="0" applyFill="1" applyBorder="1" applyAlignment="1" applyProtection="1">
      <alignment horizontal="center" vertical="center"/>
      <protection locked="0"/>
    </xf>
    <xf numFmtId="164" fontId="0" fillId="2" borderId="5" xfId="0" applyNumberFormat="1" applyFill="1" applyBorder="1" applyAlignment="1" applyProtection="1">
      <alignment horizontal="center" vertical="center"/>
      <protection locked="0"/>
    </xf>
    <xf numFmtId="164" fontId="0" fillId="7" borderId="5" xfId="0" applyNumberFormat="1" applyFill="1" applyBorder="1" applyAlignment="1" applyProtection="1">
      <alignment horizontal="center" vertical="center"/>
      <protection locked="0"/>
    </xf>
    <xf numFmtId="164" fontId="0" fillId="8" borderId="5" xfId="0" applyNumberFormat="1"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7" borderId="9" xfId="0"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0" fillId="9" borderId="9"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7" borderId="7" xfId="0" applyFill="1" applyBorder="1" applyAlignment="1" applyProtection="1">
      <alignment horizontal="center" vertical="center"/>
      <protection locked="0"/>
    </xf>
    <xf numFmtId="0" fontId="0" fillId="8" borderId="7" xfId="0" applyFill="1" applyBorder="1" applyAlignment="1" applyProtection="1">
      <alignment horizontal="center" vertical="center"/>
      <protection locked="0"/>
    </xf>
    <xf numFmtId="0" fontId="0" fillId="9" borderId="7" xfId="0" applyFill="1" applyBorder="1" applyAlignment="1" applyProtection="1">
      <alignment horizontal="center" vertical="center"/>
      <protection locked="0"/>
    </xf>
    <xf numFmtId="0" fontId="2" fillId="3" borderId="1" xfId="0" applyFont="1" applyFill="1" applyBorder="1" applyAlignment="1" applyProtection="1">
      <alignment horizontal="center"/>
      <protection locked="0"/>
    </xf>
    <xf numFmtId="9" fontId="2" fillId="3" borderId="1" xfId="0" applyNumberFormat="1" applyFont="1" applyFill="1" applyBorder="1" applyAlignment="1" applyProtection="1">
      <alignment horizontal="center"/>
      <protection locked="0"/>
    </xf>
    <xf numFmtId="164" fontId="2" fillId="3" borderId="1" xfId="0" applyNumberFormat="1" applyFont="1" applyFill="1" applyBorder="1" applyAlignment="1" applyProtection="1">
      <alignment horizontal="center"/>
      <protection locked="0"/>
    </xf>
    <xf numFmtId="0" fontId="0" fillId="0" borderId="0" xfId="0" applyAlignment="1">
      <alignment horizontal="left" vertical="center"/>
    </xf>
    <xf numFmtId="10" fontId="0" fillId="0" borderId="16"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1" fillId="11" borderId="1" xfId="0" applyFont="1" applyFill="1" applyBorder="1" applyAlignment="1">
      <alignment horizontal="center"/>
    </xf>
    <xf numFmtId="0" fontId="0" fillId="0" borderId="1" xfId="0" applyBorder="1" applyAlignment="1">
      <alignment horizontal="center" wrapText="1"/>
    </xf>
    <xf numFmtId="0" fontId="0" fillId="0" borderId="0" xfId="0" applyAlignment="1">
      <alignment horizontal="left" vertical="center"/>
    </xf>
    <xf numFmtId="0" fontId="1" fillId="0" borderId="0" xfId="0" applyFont="1" applyAlignment="1">
      <alignment horizontal="center" wrapText="1"/>
    </xf>
    <xf numFmtId="0" fontId="6" fillId="12"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7" fillId="0" borderId="19"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0" fillId="0" borderId="0" xfId="0" applyAlignment="1">
      <alignment horizontal="center" vertical="center" wrapText="1"/>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4" borderId="12"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3"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3" xfId="0" applyFont="1" applyFill="1" applyBorder="1" applyAlignment="1">
      <alignment horizontal="center" vertical="center"/>
    </xf>
    <xf numFmtId="0" fontId="3" fillId="0" borderId="10" xfId="0" applyFont="1" applyBorder="1" applyAlignment="1">
      <alignment horizontal="center" wrapText="1"/>
    </xf>
    <xf numFmtId="0" fontId="3" fillId="0" borderId="17" xfId="0" applyFont="1" applyBorder="1" applyAlignment="1">
      <alignment horizontal="center" wrapText="1"/>
    </xf>
    <xf numFmtId="0" fontId="2" fillId="10" borderId="1" xfId="0" applyFont="1" applyFill="1" applyBorder="1" applyAlignment="1">
      <alignment horizont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11</xdr:col>
      <xdr:colOff>228600</xdr:colOff>
      <xdr:row>15</xdr:row>
      <xdr:rowOff>190500</xdr:rowOff>
    </xdr:from>
    <xdr:to>
      <xdr:col>11</xdr:col>
      <xdr:colOff>274319</xdr:colOff>
      <xdr:row>16</xdr:row>
      <xdr:rowOff>28575</xdr:rowOff>
    </xdr:to>
    <xdr:sp macro="" textlink="">
      <xdr:nvSpPr>
        <xdr:cNvPr id="2" name="TextBox 1">
          <a:extLst>
            <a:ext uri="{FF2B5EF4-FFF2-40B4-BE49-F238E27FC236}">
              <a16:creationId xmlns:a16="http://schemas.microsoft.com/office/drawing/2014/main" id="{063165FB-F014-EA3F-3F22-FF5D0F6042CC}"/>
            </a:ext>
          </a:extLst>
        </xdr:cNvPr>
        <xdr:cNvSpPr txBox="1"/>
      </xdr:nvSpPr>
      <xdr:spPr>
        <a:xfrm>
          <a:off x="16906875" y="2771775"/>
          <a:ext cx="45719" cy="47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wsDr>
</file>

<file path=xl/persons/person.xml><?xml version="1.0" encoding="utf-8"?>
<personList xmlns="http://schemas.microsoft.com/office/spreadsheetml/2018/threadedcomments" xmlns:x="http://schemas.openxmlformats.org/spreadsheetml/2006/main">
  <person displayName="Lorna MacPherson" id="{FFE08596-615C-42B2-8469-8259048791E4}" userId="S::lmacpherson@sruc.ac.uk::90689d83-163e-4608-8982-d3273070def5" providerId="AD"/>
</personList>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9747AD-E4E0-48BB-BC40-B8DEAB1B60A5}" name="Table1" displayName="Table1" ref="A1:B3" totalsRowShown="0">
  <autoFilter ref="A1:B3" xr:uid="{E29747AD-E4E0-48BB-BC40-B8DEAB1B60A5}"/>
  <tableColumns count="2">
    <tableColumn id="1" xr3:uid="{D2873BD8-AA33-4BA8-A738-6F633681C50B}" name="Stage of Production"/>
    <tableColumn id="2" xr3:uid="{ED49CDB7-5734-4F58-9643-3211D858DF67}" name="Percentage DMI of BW"/>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20" dT="2025-07-30T07:32:15.89" personId="{FFE08596-615C-42B2-8469-8259048791E4}" id="{3B272D69-9581-414F-9AEB-E828F47A6D97}">
    <text>This will be for powdered mineral/bucket but wouldn’t take into account a bolus or drench as these would be a one off?</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FC343-8966-446D-9207-890AD3C132CC}">
  <sheetPr>
    <tabColor theme="9"/>
  </sheetPr>
  <dimension ref="B2:L33"/>
  <sheetViews>
    <sheetView showGridLines="0" topLeftCell="A5" zoomScale="89" zoomScaleNormal="89" workbookViewId="0">
      <selection activeCell="C8" sqref="C8:L8"/>
    </sheetView>
  </sheetViews>
  <sheetFormatPr defaultRowHeight="16.5" x14ac:dyDescent="0.3"/>
  <cols>
    <col min="2" max="2" width="28" bestFit="1" customWidth="1"/>
  </cols>
  <sheetData>
    <row r="2" spans="2:12" s="94" customFormat="1" ht="91.5" customHeight="1" x14ac:dyDescent="0.3">
      <c r="B2" s="94" t="e" vm="1">
        <v>#VALUE!</v>
      </c>
      <c r="C2" s="100" t="e" vm="2">
        <v>#VALUE!</v>
      </c>
      <c r="D2" s="100"/>
      <c r="E2" s="100"/>
    </row>
    <row r="3" spans="2:12" x14ac:dyDescent="0.3">
      <c r="B3" s="101" t="s">
        <v>96</v>
      </c>
      <c r="C3" s="101"/>
      <c r="D3" s="101"/>
      <c r="E3" s="101"/>
      <c r="F3" s="101"/>
      <c r="G3" s="101"/>
      <c r="H3" s="101"/>
      <c r="I3" s="101"/>
      <c r="J3" s="101"/>
      <c r="K3" s="101"/>
      <c r="L3" s="101"/>
    </row>
    <row r="4" spans="2:12" x14ac:dyDescent="0.3">
      <c r="B4" s="101"/>
      <c r="C4" s="101"/>
      <c r="D4" s="101"/>
      <c r="E4" s="101"/>
      <c r="F4" s="101"/>
      <c r="G4" s="101"/>
      <c r="H4" s="101"/>
      <c r="I4" s="101"/>
      <c r="J4" s="101"/>
      <c r="K4" s="101"/>
      <c r="L4" s="101"/>
    </row>
    <row r="5" spans="2:12" x14ac:dyDescent="0.3">
      <c r="B5" s="101"/>
      <c r="C5" s="101"/>
      <c r="D5" s="101"/>
      <c r="E5" s="101"/>
      <c r="F5" s="101"/>
      <c r="G5" s="101"/>
      <c r="H5" s="101"/>
      <c r="I5" s="101"/>
      <c r="J5" s="101"/>
      <c r="K5" s="101"/>
      <c r="L5" s="101"/>
    </row>
    <row r="6" spans="2:12" x14ac:dyDescent="0.3">
      <c r="B6" s="101"/>
      <c r="C6" s="101"/>
      <c r="D6" s="101"/>
      <c r="E6" s="101"/>
      <c r="F6" s="101"/>
      <c r="G6" s="101"/>
      <c r="H6" s="101"/>
      <c r="I6" s="101"/>
      <c r="J6" s="101"/>
      <c r="K6" s="101"/>
      <c r="L6" s="101"/>
    </row>
    <row r="7" spans="2:12" x14ac:dyDescent="0.3">
      <c r="B7" s="19"/>
      <c r="C7" s="19"/>
      <c r="D7" s="19"/>
      <c r="E7" s="19"/>
      <c r="F7" s="19"/>
      <c r="G7" s="19"/>
      <c r="H7" s="19"/>
      <c r="I7" s="19"/>
      <c r="J7" s="19"/>
      <c r="K7" s="19"/>
      <c r="L7" s="19"/>
    </row>
    <row r="8" spans="2:12" ht="42.95" customHeight="1" x14ac:dyDescent="0.3">
      <c r="B8" s="50" t="s">
        <v>74</v>
      </c>
      <c r="C8" s="103" t="s">
        <v>95</v>
      </c>
      <c r="D8" s="103"/>
      <c r="E8" s="103"/>
      <c r="F8" s="103"/>
      <c r="G8" s="103"/>
      <c r="H8" s="103"/>
      <c r="I8" s="103"/>
      <c r="J8" s="103"/>
      <c r="K8" s="103"/>
      <c r="L8" s="103"/>
    </row>
    <row r="9" spans="2:12" x14ac:dyDescent="0.3">
      <c r="B9" s="52" t="s">
        <v>77</v>
      </c>
      <c r="C9" s="107" t="s">
        <v>78</v>
      </c>
      <c r="D9" s="108"/>
      <c r="E9" s="108"/>
      <c r="F9" s="108"/>
      <c r="G9" s="108"/>
      <c r="H9" s="109"/>
    </row>
    <row r="11" spans="2:12" x14ac:dyDescent="0.3">
      <c r="B11" s="49" t="s">
        <v>61</v>
      </c>
      <c r="C11" s="102" t="s">
        <v>64</v>
      </c>
      <c r="D11" s="102"/>
      <c r="E11" s="102"/>
      <c r="F11" s="102"/>
      <c r="G11" s="102"/>
      <c r="H11" s="102"/>
    </row>
    <row r="12" spans="2:12" x14ac:dyDescent="0.3">
      <c r="B12" s="51" t="s">
        <v>19</v>
      </c>
      <c r="C12" s="96" t="s">
        <v>76</v>
      </c>
      <c r="D12" s="96"/>
      <c r="E12" s="96"/>
      <c r="F12" s="96"/>
      <c r="G12" s="96"/>
      <c r="H12" s="96"/>
    </row>
    <row r="13" spans="2:12" x14ac:dyDescent="0.3">
      <c r="B13" s="51" t="s">
        <v>0</v>
      </c>
      <c r="C13" s="96" t="s">
        <v>71</v>
      </c>
      <c r="D13" s="96"/>
      <c r="E13" s="96"/>
      <c r="F13" s="96"/>
      <c r="G13" s="96"/>
      <c r="H13" s="96"/>
    </row>
    <row r="14" spans="2:12" ht="33" customHeight="1" x14ac:dyDescent="0.3">
      <c r="B14" s="51" t="s">
        <v>27</v>
      </c>
      <c r="C14" s="103" t="s">
        <v>73</v>
      </c>
      <c r="D14" s="103"/>
      <c r="E14" s="103"/>
      <c r="F14" s="103"/>
      <c r="G14" s="103"/>
      <c r="H14" s="103"/>
    </row>
    <row r="15" spans="2:12" x14ac:dyDescent="0.3">
      <c r="B15" s="51" t="s">
        <v>12</v>
      </c>
      <c r="C15" s="96" t="s">
        <v>75</v>
      </c>
      <c r="D15" s="96"/>
      <c r="E15" s="96"/>
      <c r="F15" s="96"/>
      <c r="G15" s="96"/>
      <c r="H15" s="96"/>
    </row>
    <row r="16" spans="2:12" x14ac:dyDescent="0.3">
      <c r="B16" s="51" t="s">
        <v>5</v>
      </c>
      <c r="C16" s="96" t="s">
        <v>72</v>
      </c>
      <c r="D16" s="96"/>
      <c r="E16" s="96"/>
      <c r="F16" s="96"/>
      <c r="G16" s="96"/>
      <c r="H16" s="96"/>
    </row>
    <row r="17" spans="2:8" x14ac:dyDescent="0.3">
      <c r="B17" s="51" t="s">
        <v>8</v>
      </c>
      <c r="C17" s="96" t="s">
        <v>62</v>
      </c>
      <c r="D17" s="96"/>
      <c r="E17" s="96"/>
      <c r="F17" s="96"/>
      <c r="G17" s="96"/>
      <c r="H17" s="96"/>
    </row>
    <row r="18" spans="2:8" x14ac:dyDescent="0.3">
      <c r="B18" s="51" t="s">
        <v>29</v>
      </c>
      <c r="C18" s="96" t="s">
        <v>70</v>
      </c>
      <c r="D18" s="96"/>
      <c r="E18" s="96"/>
      <c r="F18" s="96"/>
      <c r="G18" s="96"/>
      <c r="H18" s="96"/>
    </row>
    <row r="19" spans="2:8" x14ac:dyDescent="0.3">
      <c r="B19" s="51" t="s">
        <v>20</v>
      </c>
      <c r="C19" s="96" t="s">
        <v>68</v>
      </c>
      <c r="D19" s="96"/>
      <c r="E19" s="96"/>
      <c r="F19" s="96"/>
      <c r="G19" s="96"/>
      <c r="H19" s="96"/>
    </row>
    <row r="20" spans="2:8" x14ac:dyDescent="0.3">
      <c r="B20" s="51" t="s">
        <v>21</v>
      </c>
      <c r="C20" s="96" t="s">
        <v>69</v>
      </c>
      <c r="D20" s="96"/>
      <c r="E20" s="96"/>
      <c r="F20" s="96"/>
      <c r="G20" s="96"/>
      <c r="H20" s="96"/>
    </row>
    <row r="21" spans="2:8" ht="42.95" customHeight="1" x14ac:dyDescent="0.3">
      <c r="B21" s="51" t="s">
        <v>7</v>
      </c>
      <c r="C21" s="103" t="s">
        <v>94</v>
      </c>
      <c r="D21" s="103"/>
      <c r="E21" s="103"/>
      <c r="F21" s="103"/>
      <c r="G21" s="103"/>
      <c r="H21" s="103"/>
    </row>
    <row r="22" spans="2:8" x14ac:dyDescent="0.3">
      <c r="B22" s="51" t="s">
        <v>28</v>
      </c>
      <c r="C22" s="104" t="s">
        <v>63</v>
      </c>
      <c r="D22" s="105"/>
      <c r="E22" s="105"/>
      <c r="F22" s="105"/>
      <c r="G22" s="105"/>
      <c r="H22" s="106"/>
    </row>
    <row r="23" spans="2:8" x14ac:dyDescent="0.3">
      <c r="B23" s="51" t="s">
        <v>13</v>
      </c>
      <c r="C23" s="104" t="s">
        <v>65</v>
      </c>
      <c r="D23" s="105"/>
      <c r="E23" s="105"/>
      <c r="F23" s="105"/>
      <c r="G23" s="105"/>
      <c r="H23" s="106"/>
    </row>
    <row r="24" spans="2:8" x14ac:dyDescent="0.3">
      <c r="B24" s="51" t="s">
        <v>66</v>
      </c>
      <c r="C24" s="104" t="s">
        <v>67</v>
      </c>
      <c r="D24" s="105"/>
      <c r="E24" s="105"/>
      <c r="F24" s="105"/>
      <c r="G24" s="105"/>
      <c r="H24" s="106"/>
    </row>
    <row r="26" spans="2:8" x14ac:dyDescent="0.3">
      <c r="B26" s="53" t="s">
        <v>79</v>
      </c>
      <c r="C26" s="98" t="s">
        <v>80</v>
      </c>
      <c r="D26" s="98"/>
      <c r="E26" s="98"/>
      <c r="F26" s="98"/>
      <c r="G26" s="98"/>
      <c r="H26" s="98"/>
    </row>
    <row r="27" spans="2:8" x14ac:dyDescent="0.3">
      <c r="B27" s="20" t="s">
        <v>11</v>
      </c>
      <c r="C27" s="97" t="s">
        <v>81</v>
      </c>
      <c r="D27" s="97"/>
      <c r="E27" s="97"/>
      <c r="F27" s="97"/>
      <c r="G27" s="97"/>
      <c r="H27" s="97"/>
    </row>
    <row r="28" spans="2:8" x14ac:dyDescent="0.3">
      <c r="B28" s="20" t="s">
        <v>10</v>
      </c>
      <c r="C28" s="99" t="s">
        <v>82</v>
      </c>
      <c r="D28" s="99"/>
      <c r="E28" s="99"/>
      <c r="F28" s="99"/>
      <c r="G28" s="99"/>
      <c r="H28" s="99"/>
    </row>
    <row r="29" spans="2:8" x14ac:dyDescent="0.3">
      <c r="B29" s="20" t="s">
        <v>23</v>
      </c>
      <c r="C29" s="97" t="s">
        <v>84</v>
      </c>
      <c r="D29" s="97"/>
      <c r="E29" s="97"/>
      <c r="F29" s="97"/>
      <c r="G29" s="97"/>
      <c r="H29" s="97"/>
    </row>
    <row r="30" spans="2:8" x14ac:dyDescent="0.3">
      <c r="B30" s="20" t="s">
        <v>24</v>
      </c>
      <c r="C30" s="97" t="s">
        <v>83</v>
      </c>
      <c r="D30" s="97"/>
      <c r="E30" s="97"/>
      <c r="F30" s="97"/>
      <c r="G30" s="97"/>
      <c r="H30" s="97"/>
    </row>
    <row r="31" spans="2:8" x14ac:dyDescent="0.3">
      <c r="B31" s="20" t="s">
        <v>15</v>
      </c>
      <c r="C31" s="97" t="s">
        <v>89</v>
      </c>
      <c r="D31" s="97"/>
      <c r="E31" s="97"/>
      <c r="F31" s="97"/>
      <c r="G31" s="97"/>
      <c r="H31" s="97"/>
    </row>
    <row r="32" spans="2:8" x14ac:dyDescent="0.3">
      <c r="B32" s="20" t="s">
        <v>18</v>
      </c>
      <c r="C32" s="97" t="s">
        <v>98</v>
      </c>
      <c r="D32" s="97"/>
      <c r="E32" s="97"/>
      <c r="F32" s="97"/>
      <c r="G32" s="97"/>
      <c r="H32" s="97"/>
    </row>
    <row r="33" spans="2:8" x14ac:dyDescent="0.3">
      <c r="B33" s="20" t="s">
        <v>17</v>
      </c>
      <c r="C33" s="97" t="s">
        <v>90</v>
      </c>
      <c r="D33" s="97"/>
      <c r="E33" s="97"/>
      <c r="F33" s="97"/>
      <c r="G33" s="97"/>
      <c r="H33" s="97"/>
    </row>
  </sheetData>
  <sheetProtection algorithmName="SHA-512" hashValue="xfOTcEjdFn3xCu6fEnzR7hsiU0ZTRQtCM1m7jUQDOIGXbxS0fBlTL9g3yRXIjpVajFy3NthU1D6zDQ0c2Px4IQ==" saltValue="GZx+42Td+y0Rq0k6b5WT/Q==" spinCount="100000" sheet="1" objects="1" scenarios="1"/>
  <mergeCells count="26">
    <mergeCell ref="C14:H14"/>
    <mergeCell ref="C21:H21"/>
    <mergeCell ref="C22:H22"/>
    <mergeCell ref="C23:H23"/>
    <mergeCell ref="C24:H24"/>
    <mergeCell ref="C15:H15"/>
    <mergeCell ref="C16:H16"/>
    <mergeCell ref="C17:H17"/>
    <mergeCell ref="C20:H20"/>
    <mergeCell ref="C2:E2"/>
    <mergeCell ref="B3:L6"/>
    <mergeCell ref="C11:H11"/>
    <mergeCell ref="C12:H12"/>
    <mergeCell ref="C13:H13"/>
    <mergeCell ref="C8:L8"/>
    <mergeCell ref="C9:H9"/>
    <mergeCell ref="C18:H18"/>
    <mergeCell ref="C19:H19"/>
    <mergeCell ref="C31:H31"/>
    <mergeCell ref="C32:H32"/>
    <mergeCell ref="C33:H33"/>
    <mergeCell ref="C26:H26"/>
    <mergeCell ref="C27:H27"/>
    <mergeCell ref="C28:H28"/>
    <mergeCell ref="C29:H29"/>
    <mergeCell ref="C30:H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35B32-7C9F-4B25-956F-2B94302E8892}">
  <sheetPr>
    <tabColor theme="4"/>
  </sheetPr>
  <dimension ref="B2:H27"/>
  <sheetViews>
    <sheetView showGridLines="0" tabSelected="1" zoomScale="75" zoomScaleNormal="75" workbookViewId="0">
      <selection activeCell="E8" sqref="E8"/>
    </sheetView>
  </sheetViews>
  <sheetFormatPr defaultRowHeight="16.5" x14ac:dyDescent="0.3"/>
  <cols>
    <col min="2" max="2" width="29.7265625" style="2" customWidth="1"/>
    <col min="3" max="4" width="24.6328125" style="2" customWidth="1"/>
    <col min="5" max="6" width="24.6328125" customWidth="1"/>
    <col min="7" max="7" width="7.54296875" customWidth="1"/>
    <col min="8" max="8" width="25.36328125" customWidth="1"/>
  </cols>
  <sheetData>
    <row r="2" spans="2:8" s="94" customFormat="1" ht="108.75" customHeight="1" x14ac:dyDescent="0.3">
      <c r="B2" s="94" t="e" vm="1">
        <v>#VALUE!</v>
      </c>
      <c r="C2" s="94" t="e" vm="2">
        <v>#VALUE!</v>
      </c>
    </row>
    <row r="3" spans="2:8" ht="17.25" thickBot="1" x14ac:dyDescent="0.35"/>
    <row r="4" spans="2:8" ht="17.25" thickBot="1" x14ac:dyDescent="0.35">
      <c r="B4" s="3" t="s">
        <v>31</v>
      </c>
      <c r="C4" s="69">
        <v>1</v>
      </c>
      <c r="D4" s="70">
        <v>2</v>
      </c>
      <c r="E4" s="71">
        <v>3</v>
      </c>
      <c r="F4" s="72">
        <v>4</v>
      </c>
      <c r="H4" s="67" t="s">
        <v>26</v>
      </c>
    </row>
    <row r="5" spans="2:8" ht="17.25" thickBot="1" x14ac:dyDescent="0.35">
      <c r="E5" s="2"/>
      <c r="F5" s="2"/>
    </row>
    <row r="6" spans="2:8" x14ac:dyDescent="0.3">
      <c r="B6" s="111" t="s">
        <v>1</v>
      </c>
      <c r="C6" s="112"/>
      <c r="D6" s="112"/>
      <c r="E6" s="112"/>
      <c r="F6" s="113"/>
    </row>
    <row r="7" spans="2:8" x14ac:dyDescent="0.3">
      <c r="B7" s="4" t="s">
        <v>19</v>
      </c>
      <c r="C7" s="9">
        <v>700</v>
      </c>
      <c r="D7" s="10">
        <v>600</v>
      </c>
      <c r="E7" s="11"/>
      <c r="F7" s="12"/>
    </row>
    <row r="8" spans="2:8" x14ac:dyDescent="0.3">
      <c r="B8" s="4" t="s">
        <v>0</v>
      </c>
      <c r="C8" s="9" t="s">
        <v>3</v>
      </c>
      <c r="D8" s="10" t="s">
        <v>3</v>
      </c>
      <c r="E8" s="11" t="s">
        <v>3</v>
      </c>
      <c r="F8" s="12" t="s">
        <v>3</v>
      </c>
    </row>
    <row r="9" spans="2:8" x14ac:dyDescent="0.3">
      <c r="B9" s="4" t="s">
        <v>27</v>
      </c>
      <c r="C9" s="13">
        <v>1.67</v>
      </c>
      <c r="D9" s="14">
        <v>1.67</v>
      </c>
      <c r="E9" s="15"/>
      <c r="F9" s="16"/>
    </row>
    <row r="10" spans="2:8" x14ac:dyDescent="0.3">
      <c r="B10" s="4" t="s">
        <v>12</v>
      </c>
      <c r="C10" s="9">
        <v>10.5</v>
      </c>
      <c r="D10" s="10">
        <v>10.5</v>
      </c>
      <c r="E10" s="11"/>
      <c r="F10" s="12"/>
    </row>
    <row r="11" spans="2:8" x14ac:dyDescent="0.3">
      <c r="B11" s="4" t="s">
        <v>5</v>
      </c>
      <c r="C11" s="17">
        <f>IFERROR(C9/C10,0)</f>
        <v>0.15904761904761905</v>
      </c>
      <c r="D11" s="17">
        <f>IFERROR(D9/D10,0)</f>
        <v>0.15904761904761905</v>
      </c>
      <c r="E11" s="17">
        <f>IFERROR(E9/E10,0)</f>
        <v>0</v>
      </c>
      <c r="F11" s="18">
        <f>IFERROR(F9/F10,0)</f>
        <v>0</v>
      </c>
    </row>
    <row r="12" spans="2:8" x14ac:dyDescent="0.3">
      <c r="B12" s="4" t="s">
        <v>8</v>
      </c>
      <c r="C12" s="8">
        <f>IF(C8='Background Data'!$A$2,C7*0.015,C7*0.02)</f>
        <v>10.5</v>
      </c>
      <c r="D12" s="8">
        <f>IF(D8='Background Data'!$A$2,D7*0.015,D7*0.02)</f>
        <v>9</v>
      </c>
      <c r="E12" s="8">
        <f>IF(E8='Background Data'!$A$2,E7*0.015,E7*0.02)</f>
        <v>0</v>
      </c>
      <c r="F12" s="5">
        <f>IF(F8='Background Data'!$A$2,F7*0.015,F7*0.02)</f>
        <v>0</v>
      </c>
    </row>
    <row r="13" spans="2:8" x14ac:dyDescent="0.3">
      <c r="B13" s="4" t="s">
        <v>97</v>
      </c>
      <c r="C13" s="9">
        <v>180</v>
      </c>
      <c r="D13" s="10">
        <v>180</v>
      </c>
      <c r="E13" s="11"/>
      <c r="F13" s="12"/>
    </row>
    <row r="14" spans="2:8" x14ac:dyDescent="0.3">
      <c r="B14" s="4" t="s">
        <v>20</v>
      </c>
      <c r="C14" s="9">
        <v>1</v>
      </c>
      <c r="D14" s="10">
        <v>1</v>
      </c>
      <c r="E14" s="11"/>
      <c r="F14" s="12"/>
    </row>
    <row r="15" spans="2:8" ht="17.25" thickBot="1" x14ac:dyDescent="0.35">
      <c r="B15" s="7" t="s">
        <v>21</v>
      </c>
      <c r="C15" s="73">
        <v>0.5</v>
      </c>
      <c r="D15" s="74">
        <v>0.5</v>
      </c>
      <c r="E15" s="75"/>
      <c r="F15" s="76"/>
    </row>
    <row r="16" spans="2:8" x14ac:dyDescent="0.3">
      <c r="E16" s="2"/>
      <c r="F16" s="2"/>
    </row>
    <row r="17" spans="2:6" ht="17.25" thickBot="1" x14ac:dyDescent="0.35">
      <c r="E17" s="2"/>
      <c r="F17" s="2"/>
    </row>
    <row r="18" spans="2:6" x14ac:dyDescent="0.3">
      <c r="B18" s="114" t="s">
        <v>6</v>
      </c>
      <c r="C18" s="115"/>
      <c r="D18" s="115"/>
      <c r="E18" s="115"/>
      <c r="F18" s="116"/>
    </row>
    <row r="19" spans="2:6" x14ac:dyDescent="0.3">
      <c r="B19" s="4" t="s">
        <v>7</v>
      </c>
      <c r="C19" s="77">
        <v>250</v>
      </c>
      <c r="D19" s="78">
        <v>225</v>
      </c>
      <c r="E19" s="79"/>
      <c r="F19" s="12"/>
    </row>
    <row r="20" spans="2:6" x14ac:dyDescent="0.3">
      <c r="B20" s="4" t="s">
        <v>28</v>
      </c>
      <c r="C20" s="80">
        <v>0.62</v>
      </c>
      <c r="D20" s="81">
        <v>0.62</v>
      </c>
      <c r="E20" s="82"/>
      <c r="F20" s="16"/>
    </row>
    <row r="21" spans="2:6" x14ac:dyDescent="0.3">
      <c r="B21" s="6" t="s">
        <v>13</v>
      </c>
      <c r="C21" s="83">
        <v>60</v>
      </c>
      <c r="D21" s="84">
        <v>60</v>
      </c>
      <c r="E21" s="85"/>
      <c r="F21" s="86"/>
    </row>
    <row r="22" spans="2:6" ht="17.25" thickBot="1" x14ac:dyDescent="0.35">
      <c r="B22" s="7" t="s">
        <v>66</v>
      </c>
      <c r="C22" s="87">
        <v>434</v>
      </c>
      <c r="D22" s="88">
        <v>434</v>
      </c>
      <c r="E22" s="89"/>
      <c r="F22" s="90"/>
    </row>
    <row r="23" spans="2:6" x14ac:dyDescent="0.3">
      <c r="E23" s="2"/>
      <c r="F23" s="2"/>
    </row>
    <row r="24" spans="2:6" ht="17.25" thickBot="1" x14ac:dyDescent="0.35">
      <c r="E24" s="2"/>
      <c r="F24" s="2"/>
    </row>
    <row r="25" spans="2:6" ht="17.25" thickBot="1" x14ac:dyDescent="0.35">
      <c r="B25" s="65" t="s">
        <v>25</v>
      </c>
      <c r="C25" s="66">
        <f>'Output - Profitability'!C17-('Output - Profitability'!C10+'Output - Profitability'!C18)</f>
        <v>657.2</v>
      </c>
      <c r="D25" s="66">
        <f>'Output - Profitability'!D17-('Output - Profitability'!D10+'Output - Profitability'!D18)</f>
        <v>591.64285714285711</v>
      </c>
      <c r="E25" s="66">
        <f>'Output - Profitability'!E17-('Output - Profitability'!E10+'Output - Profitability'!E18)</f>
        <v>0</v>
      </c>
      <c r="F25" s="66">
        <f>'Output - Profitability'!F17-('Output - Profitability'!F10+'Output - Profitability'!F18)</f>
        <v>0</v>
      </c>
    </row>
    <row r="26" spans="2:6" x14ac:dyDescent="0.3">
      <c r="E26" s="2"/>
      <c r="F26" s="2"/>
    </row>
    <row r="27" spans="2:6" ht="39.75" customHeight="1" x14ac:dyDescent="0.3">
      <c r="B27" s="110" t="s">
        <v>30</v>
      </c>
      <c r="C27" s="110"/>
      <c r="D27" s="110"/>
      <c r="E27" s="110"/>
      <c r="F27" s="110"/>
    </row>
  </sheetData>
  <sheetProtection algorithmName="SHA-512" hashValue="T+smoUc0NIDe85MFlIx4a31sCh+D9fPoe5jMl6J7DOWwC544IJDMBMYSopdS/WcR+yBvJ0dfoFFYDnRPLjD8bg==" saltValue="iIXZ/7jqQx0NPNB5/iP4JQ==" spinCount="100000" sheet="1" objects="1" scenarios="1"/>
  <mergeCells count="3">
    <mergeCell ref="B27:F27"/>
    <mergeCell ref="B6:F6"/>
    <mergeCell ref="B18:F18"/>
  </mergeCells>
  <pageMargins left="0.7" right="0.7" top="0.75" bottom="0.75" header="0.3" footer="0.3"/>
  <pageSetup paperSize="9" scale="3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93B43014-4F4D-4E00-AC58-8EF4F05708A9}">
          <x14:formula1>
            <xm:f>'Background Data'!$A$2:$A$3</xm:f>
          </x14:formula1>
          <xm:sqref>C8:F8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C6037-173E-4DBC-8438-A7E10A056A2B}">
  <sheetPr>
    <tabColor theme="5"/>
  </sheetPr>
  <dimension ref="B2:F24"/>
  <sheetViews>
    <sheetView showGridLines="0" topLeftCell="A2" zoomScale="80" zoomScaleNormal="80" workbookViewId="0">
      <selection activeCell="E7" sqref="E7"/>
    </sheetView>
  </sheetViews>
  <sheetFormatPr defaultRowHeight="16.5" x14ac:dyDescent="0.3"/>
  <cols>
    <col min="2" max="2" width="29" bestFit="1" customWidth="1"/>
    <col min="3" max="6" width="20.7265625" customWidth="1"/>
  </cols>
  <sheetData>
    <row r="2" spans="2:6" s="94" customFormat="1" ht="97.5" customHeight="1" x14ac:dyDescent="0.3">
      <c r="B2" s="94" t="e" vm="1">
        <v>#VALUE!</v>
      </c>
      <c r="C2" s="100" t="e" vm="2">
        <v>#VALUE!</v>
      </c>
      <c r="D2" s="100"/>
    </row>
    <row r="3" spans="2:6" ht="17.25" thickBot="1" x14ac:dyDescent="0.35"/>
    <row r="4" spans="2:6" ht="17.25" thickBot="1" x14ac:dyDescent="0.35">
      <c r="B4" s="54" t="s">
        <v>22</v>
      </c>
      <c r="C4" s="55">
        <f>'Data Input'!C4</f>
        <v>1</v>
      </c>
      <c r="D4" s="55">
        <f>'Data Input'!D4</f>
        <v>2</v>
      </c>
      <c r="E4" s="55">
        <f>'Data Input'!E4</f>
        <v>3</v>
      </c>
      <c r="F4" s="56">
        <f>'Data Input'!F4</f>
        <v>4</v>
      </c>
    </row>
    <row r="5" spans="2:6" ht="17.25" thickBot="1" x14ac:dyDescent="0.35">
      <c r="B5" s="2"/>
      <c r="C5" s="2"/>
      <c r="D5" s="2"/>
      <c r="E5" s="2"/>
      <c r="F5" s="2"/>
    </row>
    <row r="6" spans="2:6" x14ac:dyDescent="0.3">
      <c r="B6" s="120" t="s">
        <v>9</v>
      </c>
      <c r="C6" s="121"/>
      <c r="D6" s="121"/>
      <c r="E6" s="121"/>
      <c r="F6" s="122"/>
    </row>
    <row r="7" spans="2:6" x14ac:dyDescent="0.3">
      <c r="B7" s="4" t="s">
        <v>85</v>
      </c>
      <c r="C7" s="17">
        <f>'Data Input'!C12*'Data Input'!C11</f>
        <v>1.67</v>
      </c>
      <c r="D7" s="17">
        <f>'Data Input'!D12*'Data Input'!D11</f>
        <v>1.4314285714285715</v>
      </c>
      <c r="E7" s="17">
        <f>'Data Input'!E12*'Data Input'!E11</f>
        <v>0</v>
      </c>
      <c r="F7" s="18">
        <f>'Data Input'!F12*'Data Input'!F11</f>
        <v>0</v>
      </c>
    </row>
    <row r="8" spans="2:6" x14ac:dyDescent="0.3">
      <c r="B8" s="4" t="s">
        <v>86</v>
      </c>
      <c r="C8" s="17">
        <f>IFERROR(C7+('Data Input'!C15/'Data Input'!C14),0)</f>
        <v>2.17</v>
      </c>
      <c r="D8" s="17">
        <f>IFERROR(D7+('Data Input'!D15/'Data Input'!D14),0)</f>
        <v>1.9314285714285715</v>
      </c>
      <c r="E8" s="17">
        <f>IFERROR(E7+('Data Input'!E15/'Data Input'!E14),0)</f>
        <v>0</v>
      </c>
      <c r="F8" s="18">
        <f>IFERROR(F7+('Data Input'!F15/'Data Input'!F14),0)</f>
        <v>0</v>
      </c>
    </row>
    <row r="9" spans="2:6" x14ac:dyDescent="0.3">
      <c r="B9" s="4" t="s">
        <v>91</v>
      </c>
      <c r="C9" s="17">
        <f>C7*'Data Input'!$C$13</f>
        <v>300.59999999999997</v>
      </c>
      <c r="D9" s="17">
        <f>D7*'Data Input'!$D$13</f>
        <v>257.65714285714284</v>
      </c>
      <c r="E9" s="17">
        <f>E7*'Data Input'!$D$13</f>
        <v>0</v>
      </c>
      <c r="F9" s="18">
        <f>F7*'Data Input'!$D$13</f>
        <v>0</v>
      </c>
    </row>
    <row r="10" spans="2:6" x14ac:dyDescent="0.3">
      <c r="B10" s="4" t="s">
        <v>24</v>
      </c>
      <c r="C10" s="17">
        <f>C8*'Data Input'!$C$13</f>
        <v>390.59999999999997</v>
      </c>
      <c r="D10" s="17">
        <f>D8*'Data Input'!$D$13</f>
        <v>347.65714285714284</v>
      </c>
      <c r="E10" s="17">
        <f>E8*'Data Input'!$D$13</f>
        <v>0</v>
      </c>
      <c r="F10" s="18">
        <f>F8*'Data Input'!$D$13</f>
        <v>0</v>
      </c>
    </row>
    <row r="11" spans="2:6" ht="17.25" thickBot="1" x14ac:dyDescent="0.35">
      <c r="B11" s="7" t="s">
        <v>92</v>
      </c>
      <c r="C11" s="68">
        <f>C10*'Data Input'!C14</f>
        <v>390.59999999999997</v>
      </c>
      <c r="D11" s="68">
        <f>D10*'Data Input'!D14</f>
        <v>347.65714285714284</v>
      </c>
      <c r="E11" s="68">
        <f>E10*'Data Input'!E14</f>
        <v>0</v>
      </c>
      <c r="F11" s="57">
        <f>F10*'Data Input'!F14</f>
        <v>0</v>
      </c>
    </row>
    <row r="12" spans="2:6" ht="17.25" thickBot="1" x14ac:dyDescent="0.35">
      <c r="B12" s="2"/>
      <c r="C12" s="2"/>
      <c r="D12" s="2"/>
      <c r="E12" s="2"/>
      <c r="F12" s="2"/>
    </row>
    <row r="13" spans="2:6" x14ac:dyDescent="0.3">
      <c r="B13" s="120" t="s">
        <v>14</v>
      </c>
      <c r="C13" s="121"/>
      <c r="D13" s="121"/>
      <c r="E13" s="121"/>
      <c r="F13" s="122"/>
    </row>
    <row r="14" spans="2:6" ht="17.25" thickBot="1" x14ac:dyDescent="0.35">
      <c r="B14" s="7" t="s">
        <v>15</v>
      </c>
      <c r="C14" s="95">
        <f>IFERROR('Data Input'!$C$19/'Data Input'!$C$7,0)</f>
        <v>0.35714285714285715</v>
      </c>
      <c r="D14" s="95">
        <f>IFERROR('Data Input'!$D$19/'Data Input'!$D$7,0)</f>
        <v>0.375</v>
      </c>
      <c r="E14" s="95">
        <f>IFERROR('Data Input'!$E$19/'Data Input'!$E$7,0)</f>
        <v>0</v>
      </c>
      <c r="F14" s="58">
        <f>IFERROR('Data Input'!$F$19/'Data Input'!$F$7,0)</f>
        <v>0</v>
      </c>
    </row>
    <row r="15" spans="2:6" ht="17.25" thickBot="1" x14ac:dyDescent="0.35">
      <c r="B15" s="2"/>
      <c r="C15" s="2"/>
      <c r="D15" s="2"/>
      <c r="E15" s="2"/>
      <c r="F15" s="2"/>
    </row>
    <row r="16" spans="2:6" x14ac:dyDescent="0.3">
      <c r="B16" s="117" t="s">
        <v>16</v>
      </c>
      <c r="C16" s="118"/>
      <c r="D16" s="118"/>
      <c r="E16" s="118"/>
      <c r="F16" s="119"/>
    </row>
    <row r="17" spans="2:6" x14ac:dyDescent="0.3">
      <c r="B17" s="4" t="s">
        <v>87</v>
      </c>
      <c r="C17" s="18">
        <f>('Data Input'!C19*'Data Input'!C22)/100</f>
        <v>1085</v>
      </c>
      <c r="D17" s="18">
        <f>('Data Input'!D19*'Data Input'!D22)/100</f>
        <v>976.5</v>
      </c>
      <c r="E17" s="18">
        <f>('Data Input'!E19*'Data Input'!E22)/100</f>
        <v>0</v>
      </c>
      <c r="F17" s="18">
        <f>('Data Input'!F19*'Data Input'!F22)/100</f>
        <v>0</v>
      </c>
    </row>
    <row r="18" spans="2:6" ht="17.25" thickBot="1" x14ac:dyDescent="0.35">
      <c r="B18" s="7" t="s">
        <v>88</v>
      </c>
      <c r="C18" s="57">
        <f>'Data Input'!C20*'Data Input'!C21</f>
        <v>37.200000000000003</v>
      </c>
      <c r="D18" s="57">
        <f>'Data Input'!D20*'Data Input'!D21</f>
        <v>37.200000000000003</v>
      </c>
      <c r="E18" s="57">
        <f>'Data Input'!E20*'Data Input'!E21</f>
        <v>0</v>
      </c>
      <c r="F18" s="57">
        <f>'Data Input'!F20*'Data Input'!F21</f>
        <v>0</v>
      </c>
    </row>
    <row r="19" spans="2:6" x14ac:dyDescent="0.3">
      <c r="B19" s="2"/>
      <c r="C19" s="2"/>
      <c r="D19" s="2"/>
      <c r="E19" s="2"/>
      <c r="F19" s="2"/>
    </row>
    <row r="20" spans="2:6" ht="17.25" thickBot="1" x14ac:dyDescent="0.35">
      <c r="B20" s="2"/>
      <c r="C20" s="2"/>
      <c r="D20" s="2"/>
      <c r="E20" s="2"/>
      <c r="F20" s="2"/>
    </row>
    <row r="21" spans="2:6" x14ac:dyDescent="0.3">
      <c r="B21" s="59" t="s">
        <v>25</v>
      </c>
      <c r="C21" s="60">
        <f>C17-(C10+C18)</f>
        <v>657.2</v>
      </c>
      <c r="D21" s="60">
        <f>D17-(D10+D18)</f>
        <v>591.64285714285711</v>
      </c>
      <c r="E21" s="60">
        <f t="shared" ref="E21:F21" si="0">E17-(E10+E18)</f>
        <v>0</v>
      </c>
      <c r="F21" s="61">
        <f t="shared" si="0"/>
        <v>0</v>
      </c>
    </row>
    <row r="22" spans="2:6" ht="17.25" thickBot="1" x14ac:dyDescent="0.35">
      <c r="B22" s="62" t="s">
        <v>93</v>
      </c>
      <c r="C22" s="63">
        <f>('Output - Profitability'!C17*'Data Input'!C14)-(C11+(C18*'Data Input'!C14))</f>
        <v>657.2</v>
      </c>
      <c r="D22" s="63">
        <f>('Output - Profitability'!D17*'Data Input'!D14)-(D11+(D18*'Data Input'!D14))</f>
        <v>591.64285714285711</v>
      </c>
      <c r="E22" s="63">
        <f>('Output - Profitability'!E17*'Data Input'!E14)-(E11+(E18*'Data Input'!E14))</f>
        <v>0</v>
      </c>
      <c r="F22" s="64">
        <f>('Output - Profitability'!F17*'Data Input'!F14)-(F11+(F18*'Data Input'!F14))</f>
        <v>0</v>
      </c>
    </row>
    <row r="23" spans="2:6" x14ac:dyDescent="0.3">
      <c r="B23" s="2"/>
      <c r="C23" s="2"/>
      <c r="D23" s="2"/>
      <c r="E23" s="2"/>
      <c r="F23" s="2"/>
    </row>
    <row r="24" spans="2:6" ht="39" customHeight="1" x14ac:dyDescent="0.3">
      <c r="B24" s="110" t="s">
        <v>99</v>
      </c>
      <c r="C24" s="110"/>
      <c r="D24" s="110"/>
      <c r="E24" s="110"/>
      <c r="F24" s="110"/>
    </row>
  </sheetData>
  <sheetProtection algorithmName="SHA-512" hashValue="BeFquCFgrLGcQE9ZU/xiku5xFqSTYMgPeAzZIafodyEYKV3KSpwCgXS4BTxGbo6TQliF6pMn5RY4aZFqsd6H4w==" saltValue="FMwxdm4mf349V7U6hR5PtA==" spinCount="100000" sheet="1" objects="1" scenarios="1"/>
  <mergeCells count="5">
    <mergeCell ref="B16:F16"/>
    <mergeCell ref="B24:F24"/>
    <mergeCell ref="B6:F6"/>
    <mergeCell ref="B13:F13"/>
    <mergeCell ref="C2:D2"/>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03DA4-0999-4068-BF43-3B6B3DE4AE3B}">
  <sheetPr>
    <tabColor rgb="FFC00000"/>
  </sheetPr>
  <dimension ref="B2:N23"/>
  <sheetViews>
    <sheetView showGridLines="0" topLeftCell="A4" zoomScale="60" zoomScaleNormal="60" workbookViewId="0">
      <selection activeCell="E17" sqref="E17:H19"/>
    </sheetView>
  </sheetViews>
  <sheetFormatPr defaultRowHeight="16.5" x14ac:dyDescent="0.3"/>
  <cols>
    <col min="2" max="2" width="18.81640625" bestFit="1" customWidth="1"/>
    <col min="3" max="3" width="11.90625" bestFit="1" customWidth="1"/>
    <col min="4" max="4" width="10.81640625" bestFit="1" customWidth="1"/>
    <col min="5" max="5" width="14.54296875" bestFit="1" customWidth="1"/>
    <col min="6" max="6" width="14.90625" bestFit="1" customWidth="1"/>
    <col min="7" max="7" width="20.90625" bestFit="1" customWidth="1"/>
    <col min="8" max="8" width="15.7265625" bestFit="1" customWidth="1"/>
    <col min="9" max="9" width="10.90625" bestFit="1" customWidth="1"/>
    <col min="11" max="11" width="20" customWidth="1"/>
    <col min="13" max="13" width="11.1796875" bestFit="1" customWidth="1"/>
    <col min="14" max="14" width="12.08984375" bestFit="1" customWidth="1"/>
  </cols>
  <sheetData>
    <row r="2" spans="2:14" s="94" customFormat="1" ht="132.75" customHeight="1" x14ac:dyDescent="0.3">
      <c r="B2" s="100" t="e" vm="1">
        <v>#VALUE!</v>
      </c>
      <c r="C2" s="100"/>
      <c r="D2" s="100" t="e" vm="2">
        <v>#VALUE!</v>
      </c>
      <c r="E2" s="100"/>
      <c r="F2" s="100"/>
    </row>
    <row r="3" spans="2:14" ht="17.25" thickBot="1" x14ac:dyDescent="0.35"/>
    <row r="4" spans="2:14" ht="33.75" thickBot="1" x14ac:dyDescent="0.45">
      <c r="B4" s="25" t="s">
        <v>32</v>
      </c>
      <c r="C4" s="91">
        <v>800</v>
      </c>
      <c r="D4" s="26" t="s">
        <v>34</v>
      </c>
      <c r="E4" s="26"/>
      <c r="F4" s="27"/>
      <c r="G4" s="27"/>
      <c r="H4" s="26"/>
      <c r="I4" s="26"/>
      <c r="J4" s="26"/>
      <c r="K4" s="67" t="s">
        <v>26</v>
      </c>
      <c r="L4" s="29"/>
      <c r="M4" s="29"/>
      <c r="N4" s="21"/>
    </row>
    <row r="5" spans="2:14" ht="21.75" x14ac:dyDescent="0.4">
      <c r="B5" s="25" t="s">
        <v>0</v>
      </c>
      <c r="C5" s="30" t="s">
        <v>3</v>
      </c>
      <c r="D5" s="26"/>
      <c r="E5" s="26"/>
      <c r="F5" s="31"/>
      <c r="G5" s="31"/>
      <c r="H5" s="26"/>
      <c r="I5" s="26"/>
      <c r="J5" s="26"/>
      <c r="K5" s="28"/>
      <c r="L5" s="29"/>
      <c r="M5" s="29"/>
      <c r="N5" s="21"/>
    </row>
    <row r="6" spans="2:14" ht="21.75" x14ac:dyDescent="0.4">
      <c r="B6" s="25" t="s">
        <v>33</v>
      </c>
      <c r="C6" s="32">
        <f>IF('Background Data'!A2=C5,C4*0.015,C4*0.02)</f>
        <v>12</v>
      </c>
      <c r="D6" s="26" t="s">
        <v>35</v>
      </c>
      <c r="E6" s="26"/>
      <c r="F6" s="33"/>
      <c r="G6" s="33"/>
      <c r="H6" s="26"/>
      <c r="I6" s="26"/>
      <c r="J6" s="26"/>
      <c r="K6" s="26"/>
      <c r="L6" s="33"/>
      <c r="M6" s="33"/>
      <c r="N6" s="2"/>
    </row>
    <row r="7" spans="2:14" ht="21.75" x14ac:dyDescent="0.4">
      <c r="B7" s="26"/>
      <c r="C7" s="34"/>
      <c r="D7" s="34"/>
      <c r="E7" s="34"/>
      <c r="F7" s="34"/>
      <c r="G7" s="34"/>
      <c r="H7" s="26"/>
      <c r="I7" s="26"/>
      <c r="J7" s="26"/>
      <c r="K7" s="26"/>
      <c r="L7" s="33"/>
      <c r="M7" s="33"/>
      <c r="N7" s="2"/>
    </row>
    <row r="8" spans="2:14" ht="21.75" x14ac:dyDescent="0.4">
      <c r="B8" s="26"/>
      <c r="C8" s="34"/>
      <c r="D8" s="34"/>
      <c r="E8" s="34"/>
      <c r="F8" s="34"/>
      <c r="G8" s="34"/>
      <c r="H8" s="26"/>
      <c r="I8" s="26"/>
      <c r="J8" s="26"/>
      <c r="K8" s="26"/>
      <c r="L8" s="33"/>
      <c r="M8" s="33"/>
      <c r="N8" s="2"/>
    </row>
    <row r="9" spans="2:14" ht="21.75" x14ac:dyDescent="0.4">
      <c r="B9" s="26"/>
      <c r="C9" s="26"/>
      <c r="D9" s="26"/>
      <c r="E9" s="26"/>
      <c r="F9" s="26"/>
      <c r="G9" s="26"/>
      <c r="H9" s="26"/>
      <c r="I9" s="26"/>
      <c r="J9" s="26"/>
      <c r="K9" s="26"/>
      <c r="L9" s="33"/>
      <c r="M9" s="33"/>
      <c r="N9" s="2"/>
    </row>
    <row r="10" spans="2:14" ht="21.75" x14ac:dyDescent="0.4">
      <c r="B10" s="35" t="s">
        <v>36</v>
      </c>
      <c r="C10" s="36" t="s">
        <v>37</v>
      </c>
      <c r="D10" s="36" t="s">
        <v>60</v>
      </c>
      <c r="E10" s="36" t="s">
        <v>58</v>
      </c>
      <c r="F10" s="36" t="s">
        <v>46</v>
      </c>
      <c r="G10" s="36" t="s">
        <v>57</v>
      </c>
      <c r="H10" s="36" t="s">
        <v>52</v>
      </c>
      <c r="I10" s="36" t="s">
        <v>53</v>
      </c>
      <c r="J10" s="26"/>
      <c r="K10" s="26"/>
      <c r="L10" s="33"/>
      <c r="M10" s="33"/>
      <c r="N10" s="2"/>
    </row>
    <row r="11" spans="2:14" ht="21.75" x14ac:dyDescent="0.4">
      <c r="B11" s="35" t="s">
        <v>43</v>
      </c>
      <c r="C11" s="91">
        <v>40</v>
      </c>
      <c r="D11" s="37">
        <f>C11*E11</f>
        <v>12</v>
      </c>
      <c r="E11" s="92">
        <v>0.3</v>
      </c>
      <c r="F11" s="91">
        <v>9.5</v>
      </c>
      <c r="G11" s="92">
        <v>0.1</v>
      </c>
      <c r="H11" s="93">
        <v>30</v>
      </c>
      <c r="I11" s="38">
        <f>((H11/1000)*C11)</f>
        <v>1.2</v>
      </c>
      <c r="J11" s="26"/>
      <c r="K11" s="26"/>
      <c r="L11" s="27"/>
      <c r="M11" s="27"/>
      <c r="N11" s="1"/>
    </row>
    <row r="12" spans="2:14" ht="21.75" x14ac:dyDescent="0.4">
      <c r="B12" s="35" t="s">
        <v>44</v>
      </c>
      <c r="C12" s="91"/>
      <c r="D12" s="37">
        <f t="shared" ref="D12:D19" si="0">C12*E12</f>
        <v>0</v>
      </c>
      <c r="E12" s="91"/>
      <c r="F12" s="91"/>
      <c r="G12" s="91"/>
      <c r="H12" s="93"/>
      <c r="I12" s="38">
        <f t="shared" ref="I12:I20" si="1">((H12/1000)*C12)</f>
        <v>0</v>
      </c>
      <c r="J12" s="26"/>
      <c r="K12" s="26"/>
      <c r="L12" s="27"/>
      <c r="M12" s="27"/>
      <c r="N12" s="1"/>
    </row>
    <row r="13" spans="2:14" ht="21.75" x14ac:dyDescent="0.4">
      <c r="B13" s="35" t="s">
        <v>45</v>
      </c>
      <c r="C13" s="91"/>
      <c r="D13" s="37">
        <f t="shared" si="0"/>
        <v>0</v>
      </c>
      <c r="E13" s="91"/>
      <c r="F13" s="91"/>
      <c r="G13" s="91"/>
      <c r="H13" s="93"/>
      <c r="I13" s="38">
        <f t="shared" si="1"/>
        <v>0</v>
      </c>
      <c r="J13" s="26"/>
      <c r="K13" s="45" t="s">
        <v>48</v>
      </c>
      <c r="L13" s="44" t="s">
        <v>50</v>
      </c>
      <c r="M13" s="44" t="s">
        <v>51</v>
      </c>
      <c r="N13" s="1"/>
    </row>
    <row r="14" spans="2:14" ht="21.75" x14ac:dyDescent="0.4">
      <c r="B14" s="35" t="s">
        <v>54</v>
      </c>
      <c r="C14" s="91"/>
      <c r="D14" s="37">
        <f t="shared" si="0"/>
        <v>0</v>
      </c>
      <c r="E14" s="91"/>
      <c r="F14" s="91"/>
      <c r="G14" s="91"/>
      <c r="H14" s="93"/>
      <c r="I14" s="38">
        <f t="shared" si="1"/>
        <v>0</v>
      </c>
      <c r="J14" s="26"/>
      <c r="K14" s="45" t="s">
        <v>49</v>
      </c>
      <c r="L14" s="39">
        <f>SUM(D11:D20)</f>
        <v>12.978000000000002</v>
      </c>
      <c r="M14" s="37">
        <f>C6</f>
        <v>12</v>
      </c>
      <c r="N14" s="1"/>
    </row>
    <row r="15" spans="2:14" ht="21.75" x14ac:dyDescent="0.4">
      <c r="B15" s="40" t="s">
        <v>38</v>
      </c>
      <c r="C15" s="91">
        <v>1</v>
      </c>
      <c r="D15" s="37">
        <f t="shared" si="0"/>
        <v>0.88</v>
      </c>
      <c r="E15" s="41">
        <v>0.88</v>
      </c>
      <c r="F15" s="37">
        <v>6.5</v>
      </c>
      <c r="G15" s="41">
        <v>0.04</v>
      </c>
      <c r="H15" s="93">
        <v>100</v>
      </c>
      <c r="I15" s="38">
        <f t="shared" si="1"/>
        <v>0.1</v>
      </c>
      <c r="J15" s="26"/>
      <c r="K15" s="45" t="s">
        <v>55</v>
      </c>
      <c r="L15" s="39">
        <f>(F11*D11)+(F12*D12)+(F13*D13)+(F14*D14)+(F15*D15)+(F16*D16)+(F17*D17)+(F18*D18)+(F19*D19)+(F20*D20)</f>
        <v>119.72</v>
      </c>
      <c r="M15" s="32">
        <f>IF('Background Data'!A2='Ration &amp; Cost Calculator'!C5,((C4/10)+20),((C4/10)+50))</f>
        <v>100</v>
      </c>
    </row>
    <row r="16" spans="2:14" ht="21.75" x14ac:dyDescent="0.4">
      <c r="B16" s="35" t="s">
        <v>39</v>
      </c>
      <c r="C16" s="91"/>
      <c r="D16" s="37">
        <f t="shared" si="0"/>
        <v>0</v>
      </c>
      <c r="E16" s="91"/>
      <c r="F16" s="91"/>
      <c r="G16" s="91"/>
      <c r="H16" s="93"/>
      <c r="I16" s="38">
        <f t="shared" si="1"/>
        <v>0</v>
      </c>
      <c r="J16" s="26"/>
      <c r="K16" s="46" t="s">
        <v>59</v>
      </c>
      <c r="L16" s="47">
        <f>((((G11*D11)+(G12*D12)+(G13*D13)+(G14*D14)+(G15*D15)+(G16*D16)+(G17*D17)+(G18*D18)+(G19*D19)+(G20*D20))/L14)*100)</f>
        <v>9.5176452458005851</v>
      </c>
      <c r="M16" s="48">
        <f>IF('Background Data'!A2='Ration &amp; Cost Calculator'!C5,9,12)</f>
        <v>9</v>
      </c>
    </row>
    <row r="17" spans="2:14" ht="21.6" customHeight="1" x14ac:dyDescent="0.4">
      <c r="B17" s="35" t="s">
        <v>39</v>
      </c>
      <c r="C17" s="91"/>
      <c r="D17" s="37">
        <f t="shared" si="0"/>
        <v>0</v>
      </c>
      <c r="E17" s="91"/>
      <c r="F17" s="91"/>
      <c r="G17" s="91"/>
      <c r="H17" s="93"/>
      <c r="I17" s="38">
        <f t="shared" si="1"/>
        <v>0</v>
      </c>
      <c r="J17" s="26"/>
      <c r="K17" s="125" t="s">
        <v>56</v>
      </c>
      <c r="L17" s="125"/>
      <c r="M17" s="125"/>
      <c r="N17" s="125"/>
    </row>
    <row r="18" spans="2:14" ht="43.5" x14ac:dyDescent="0.4">
      <c r="B18" s="42" t="s">
        <v>40</v>
      </c>
      <c r="C18" s="91"/>
      <c r="D18" s="37">
        <f t="shared" si="0"/>
        <v>0</v>
      </c>
      <c r="E18" s="91"/>
      <c r="F18" s="91"/>
      <c r="G18" s="91"/>
      <c r="H18" s="93"/>
      <c r="I18" s="38">
        <f t="shared" si="1"/>
        <v>0</v>
      </c>
      <c r="J18" s="26"/>
      <c r="K18" s="125"/>
      <c r="L18" s="125"/>
      <c r="M18" s="125"/>
      <c r="N18" s="125"/>
    </row>
    <row r="19" spans="2:14" ht="32.450000000000003" customHeight="1" x14ac:dyDescent="0.4">
      <c r="B19" s="35" t="s">
        <v>41</v>
      </c>
      <c r="C19" s="91"/>
      <c r="D19" s="37">
        <f t="shared" si="0"/>
        <v>0</v>
      </c>
      <c r="E19" s="91"/>
      <c r="F19" s="91"/>
      <c r="G19" s="91"/>
      <c r="H19" s="93"/>
      <c r="I19" s="38">
        <f t="shared" si="1"/>
        <v>0</v>
      </c>
      <c r="J19" s="26"/>
      <c r="K19" s="125"/>
      <c r="L19" s="125"/>
      <c r="M19" s="125"/>
      <c r="N19" s="125"/>
    </row>
    <row r="20" spans="2:14" ht="21.75" x14ac:dyDescent="0.4">
      <c r="B20" s="35" t="s">
        <v>42</v>
      </c>
      <c r="C20" s="91">
        <v>0.1</v>
      </c>
      <c r="D20" s="37">
        <f>C20*E20</f>
        <v>9.8000000000000004E-2</v>
      </c>
      <c r="E20" s="41">
        <v>0.98</v>
      </c>
      <c r="F20" s="37">
        <v>0</v>
      </c>
      <c r="G20" s="41">
        <v>0</v>
      </c>
      <c r="H20" s="91">
        <v>450</v>
      </c>
      <c r="I20" s="38">
        <f t="shared" si="1"/>
        <v>4.5000000000000005E-2</v>
      </c>
      <c r="J20" s="26"/>
      <c r="K20" s="26"/>
      <c r="L20" s="26"/>
      <c r="M20" s="26"/>
    </row>
    <row r="21" spans="2:14" ht="21.75" x14ac:dyDescent="0.4">
      <c r="B21" s="26"/>
      <c r="C21" s="26"/>
      <c r="D21" s="26"/>
      <c r="E21" s="26"/>
      <c r="F21" s="26"/>
      <c r="G21" s="26"/>
      <c r="H21" s="26"/>
      <c r="I21" s="26"/>
      <c r="J21" s="26"/>
      <c r="K21" s="26"/>
      <c r="L21" s="26"/>
      <c r="M21" s="26"/>
    </row>
    <row r="22" spans="2:14" ht="22.5" thickBot="1" x14ac:dyDescent="0.45">
      <c r="B22" s="26"/>
      <c r="C22" s="26"/>
      <c r="D22" s="26"/>
      <c r="E22" s="26"/>
      <c r="F22" s="26"/>
      <c r="G22" s="26"/>
      <c r="H22" s="26"/>
      <c r="I22" s="26"/>
      <c r="J22" s="26"/>
      <c r="K22" s="26"/>
      <c r="L22" s="26"/>
      <c r="M22" s="26"/>
    </row>
    <row r="23" spans="2:14" ht="22.5" thickBot="1" x14ac:dyDescent="0.45">
      <c r="B23" s="26"/>
      <c r="C23" s="26"/>
      <c r="D23" s="26"/>
      <c r="E23" s="26"/>
      <c r="F23" s="123" t="s">
        <v>47</v>
      </c>
      <c r="G23" s="124"/>
      <c r="H23" s="124"/>
      <c r="I23" s="43">
        <f>SUM(I11:I20)</f>
        <v>1.345</v>
      </c>
      <c r="J23" s="26"/>
      <c r="K23" s="26"/>
      <c r="L23" s="26"/>
      <c r="M23" s="26"/>
    </row>
  </sheetData>
  <sheetProtection algorithmName="SHA-512" hashValue="TMniuSc0OeInpHW1RfNRU4C975Fve8wLOUeC7wcO+B7aYhikFfG7sOapYb+2ev174t9GXP9Bs3/jgQ39uIz0RA==" saltValue="ydR2LPtGUS8xmPaIfLMGgQ==" spinCount="100000" sheet="1" objects="1" scenarios="1"/>
  <mergeCells count="4">
    <mergeCell ref="F23:H23"/>
    <mergeCell ref="K17:N19"/>
    <mergeCell ref="B2:C2"/>
    <mergeCell ref="D2:F2"/>
  </mergeCells>
  <conditionalFormatting sqref="L14">
    <cfRule type="cellIs" dxfId="2" priority="3" operator="lessThan">
      <formula>$M$14</formula>
    </cfRule>
  </conditionalFormatting>
  <conditionalFormatting sqref="L15">
    <cfRule type="cellIs" dxfId="1" priority="2" operator="lessThan">
      <formula>$M$15</formula>
    </cfRule>
  </conditionalFormatting>
  <conditionalFormatting sqref="L16">
    <cfRule type="cellIs" dxfId="0" priority="1" operator="lessThan">
      <formula>$M$16</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showInputMessage="1" showErrorMessage="1" xr:uid="{EBBAA6BD-4CA4-4994-BA4E-0A0B5B04F0DE}">
          <x14:formula1>
            <xm:f>'Background Data'!$A$2:$A$3</xm:f>
          </x14:formula1>
          <xm:sqref>F5:G5 C5:D5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5917D-CE64-4248-ACD4-02FE00D7EFC6}">
  <dimension ref="A1:D10"/>
  <sheetViews>
    <sheetView workbookViewId="0"/>
  </sheetViews>
  <sheetFormatPr defaultRowHeight="16.5" x14ac:dyDescent="0.3"/>
  <cols>
    <col min="1" max="1" width="15.08984375" customWidth="1"/>
    <col min="2" max="2" width="16.90625" customWidth="1"/>
  </cols>
  <sheetData>
    <row r="1" spans="1:4" x14ac:dyDescent="0.3">
      <c r="A1" t="s">
        <v>0</v>
      </c>
      <c r="B1" t="s">
        <v>2</v>
      </c>
    </row>
    <row r="2" spans="1:4" x14ac:dyDescent="0.3">
      <c r="A2" t="s">
        <v>3</v>
      </c>
      <c r="B2">
        <v>1.5</v>
      </c>
      <c r="D2" s="22"/>
    </row>
    <row r="3" spans="1:4" x14ac:dyDescent="0.3">
      <c r="A3" t="s">
        <v>4</v>
      </c>
      <c r="B3">
        <v>2</v>
      </c>
      <c r="D3" s="22"/>
    </row>
    <row r="4" spans="1:4" x14ac:dyDescent="0.3">
      <c r="D4" s="23"/>
    </row>
    <row r="5" spans="1:4" x14ac:dyDescent="0.3">
      <c r="D5" s="23"/>
    </row>
    <row r="6" spans="1:4" x14ac:dyDescent="0.3">
      <c r="D6" s="22"/>
    </row>
    <row r="7" spans="1:4" x14ac:dyDescent="0.3">
      <c r="D7" s="22"/>
    </row>
    <row r="8" spans="1:4" x14ac:dyDescent="0.3">
      <c r="D8" s="24"/>
    </row>
    <row r="9" spans="1:4" x14ac:dyDescent="0.3">
      <c r="D9" s="22"/>
    </row>
    <row r="10" spans="1:4" x14ac:dyDescent="0.3">
      <c r="D10" s="22"/>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 &amp; Information</vt:lpstr>
      <vt:lpstr>Data Input</vt:lpstr>
      <vt:lpstr>Output - Profitability</vt:lpstr>
      <vt:lpstr>Ration &amp; Cost Calculator</vt:lpstr>
      <vt:lpstr>Background Data</vt:lpstr>
    </vt:vector>
  </TitlesOfParts>
  <Company>SRUC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Lorna Shaw</dc:creator>
  <cp:lastModifiedBy>Lorna Shaw</cp:lastModifiedBy>
  <dcterms:created xsi:type="dcterms:W3CDTF">2025-04-15T07:58:09Z</dcterms:created>
  <dcterms:modified xsi:type="dcterms:W3CDTF">2026-02-02T17:27:56Z</dcterms:modified>
</cp:coreProperties>
</file>